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Andres Huespe\Documents\Expedientes\Laboral\369-21 - Juarez Lucas c Centro Medico Argenta\"/>
    </mc:Choice>
  </mc:AlternateContent>
  <xr:revisionPtr revIDLastSave="0" documentId="13_ncr:1_{35384C33-7972-46FA-985D-470C7BF99A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la" sheetId="1" r:id="rId1"/>
  </sheets>
  <definedNames>
    <definedName name="Diferencias_Salariales" localSheetId="0">Planilla!#REF!</definedName>
    <definedName name="Remuneraciones_adeudadas" localSheetId="0">Planilla!#REF!</definedName>
    <definedName name="Salarios_percibidos" localSheetId="0">Planilla!#REF!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1" l="1"/>
  <c r="B127" i="1"/>
  <c r="E119" i="1"/>
  <c r="E112" i="1"/>
  <c r="E110" i="1"/>
  <c r="E109" i="1"/>
  <c r="E105" i="1"/>
  <c r="D96" i="1"/>
  <c r="D94" i="1"/>
  <c r="D93" i="1"/>
  <c r="D92" i="1"/>
  <c r="D91" i="1"/>
  <c r="D90" i="1"/>
  <c r="D89" i="1"/>
  <c r="D82" i="1"/>
  <c r="D87" i="1"/>
  <c r="C96" i="1"/>
  <c r="C94" i="1"/>
  <c r="C93" i="1"/>
  <c r="C92" i="1"/>
  <c r="C91" i="1"/>
  <c r="C90" i="1"/>
  <c r="C89" i="1"/>
  <c r="E89" i="1" l="1"/>
  <c r="B113" i="1" s="1"/>
  <c r="D113" i="1" s="1"/>
  <c r="F113" i="1" s="1"/>
  <c r="G113" i="1" s="1"/>
  <c r="E91" i="1"/>
  <c r="B115" i="1" s="1"/>
  <c r="D115" i="1" s="1"/>
  <c r="F115" i="1" s="1"/>
  <c r="G115" i="1" s="1"/>
  <c r="E92" i="1"/>
  <c r="B116" i="1" s="1"/>
  <c r="D116" i="1" s="1"/>
  <c r="F116" i="1" s="1"/>
  <c r="G116" i="1" s="1"/>
  <c r="E93" i="1"/>
  <c r="B117" i="1" s="1"/>
  <c r="D117" i="1" s="1"/>
  <c r="F117" i="1" s="1"/>
  <c r="G117" i="1" s="1"/>
  <c r="E94" i="1"/>
  <c r="E96" i="1"/>
  <c r="B120" i="1" s="1"/>
  <c r="D120" i="1" s="1"/>
  <c r="F120" i="1" s="1"/>
  <c r="G120" i="1" s="1"/>
  <c r="C87" i="1"/>
  <c r="E87" i="1" s="1"/>
  <c r="C86" i="1"/>
  <c r="E86" i="1" s="1"/>
  <c r="B110" i="1" s="1"/>
  <c r="D110" i="1" s="1"/>
  <c r="F110" i="1" s="1"/>
  <c r="G110" i="1" s="1"/>
  <c r="C85" i="1"/>
  <c r="C84" i="1"/>
  <c r="E84" i="1" s="1"/>
  <c r="B108" i="1" s="1"/>
  <c r="D108" i="1" s="1"/>
  <c r="C83" i="1"/>
  <c r="C82" i="1"/>
  <c r="E82" i="1" s="1"/>
  <c r="B106" i="1" s="1"/>
  <c r="D106" i="1" s="1"/>
  <c r="D86" i="1"/>
  <c r="D85" i="1"/>
  <c r="D84" i="1"/>
  <c r="D76" i="1"/>
  <c r="C77" i="1"/>
  <c r="C78" i="1"/>
  <c r="C79" i="1"/>
  <c r="C80" i="1"/>
  <c r="C76" i="1"/>
  <c r="B15" i="1"/>
  <c r="B88" i="1" l="1"/>
  <c r="B111" i="1"/>
  <c r="D111" i="1" s="1"/>
  <c r="F111" i="1" s="1"/>
  <c r="G111" i="1" s="1"/>
  <c r="B95" i="1"/>
  <c r="B118" i="1"/>
  <c r="D118" i="1" s="1"/>
  <c r="F118" i="1" s="1"/>
  <c r="G118" i="1" s="1"/>
  <c r="C97" i="1"/>
  <c r="E85" i="1"/>
  <c r="B109" i="1" s="1"/>
  <c r="D109" i="1" s="1"/>
  <c r="F109" i="1" s="1"/>
  <c r="G109" i="1" s="1"/>
  <c r="E95" i="1"/>
  <c r="B119" i="1" s="1"/>
  <c r="D119" i="1" s="1"/>
  <c r="F119" i="1" s="1"/>
  <c r="G119" i="1" s="1"/>
  <c r="E88" i="1"/>
  <c r="B112" i="1" s="1"/>
  <c r="D112" i="1" s="1"/>
  <c r="F112" i="1" s="1"/>
  <c r="G112" i="1" s="1"/>
  <c r="E90" i="1"/>
  <c r="B114" i="1" s="1"/>
  <c r="D114" i="1" s="1"/>
  <c r="F114" i="1" s="1"/>
  <c r="G114" i="1" s="1"/>
  <c r="C104" i="1"/>
  <c r="C121" i="1" s="1"/>
  <c r="D77" i="1"/>
  <c r="D83" i="1"/>
  <c r="E83" i="1" s="1"/>
  <c r="B107" i="1" s="1"/>
  <c r="D107" i="1" s="1"/>
  <c r="E77" i="1"/>
  <c r="B101" i="1" l="1"/>
  <c r="D101" i="1" s="1"/>
  <c r="F101" i="1" s="1"/>
  <c r="G101" i="1" s="1"/>
  <c r="E76" i="1"/>
  <c r="B100" i="1" s="1"/>
  <c r="D100" i="1" s="1"/>
  <c r="F107" i="1"/>
  <c r="G107" i="1" s="1"/>
  <c r="D78" i="1"/>
  <c r="F108" i="1"/>
  <c r="G108" i="1" s="1"/>
  <c r="B16" i="1"/>
  <c r="C57" i="1" l="1"/>
  <c r="A58" i="1"/>
  <c r="C49" i="1"/>
  <c r="C46" i="1"/>
  <c r="A50" i="1"/>
  <c r="A47" i="1"/>
  <c r="A41" i="1"/>
  <c r="C34" i="1"/>
  <c r="B63" i="1" s="1"/>
  <c r="C31" i="1"/>
  <c r="C22" i="1"/>
  <c r="C40" i="1"/>
  <c r="C43" i="1" s="1"/>
  <c r="A35" i="1"/>
  <c r="A32" i="1"/>
  <c r="A23" i="1"/>
  <c r="E78" i="1"/>
  <c r="D79" i="1"/>
  <c r="C25" i="1"/>
  <c r="B62" i="1" s="1"/>
  <c r="A26" i="1"/>
  <c r="B102" i="1" l="1"/>
  <c r="D102" i="1" s="1"/>
  <c r="B53" i="1"/>
  <c r="B61" i="1"/>
  <c r="A44" i="1"/>
  <c r="B55" i="1"/>
  <c r="B54" i="1"/>
  <c r="C37" i="1"/>
  <c r="A38" i="1"/>
  <c r="A29" i="1"/>
  <c r="E79" i="1"/>
  <c r="F100" i="1"/>
  <c r="D80" i="1"/>
  <c r="D97" i="1" s="1"/>
  <c r="C28" i="1"/>
  <c r="B103" i="1" l="1"/>
  <c r="D103" i="1" s="1"/>
  <c r="F103" i="1" s="1"/>
  <c r="G103" i="1" s="1"/>
  <c r="F102" i="1"/>
  <c r="G102" i="1" s="1"/>
  <c r="E80" i="1"/>
  <c r="B104" i="1" s="1"/>
  <c r="D104" i="1" s="1"/>
  <c r="F104" i="1" s="1"/>
  <c r="G104" i="1" s="1"/>
  <c r="G100" i="1"/>
  <c r="C52" i="1"/>
  <c r="C60" i="1"/>
  <c r="B81" i="1" l="1"/>
  <c r="C66" i="1"/>
  <c r="C68" i="1" l="1"/>
  <c r="B133" i="1"/>
  <c r="B97" i="1"/>
  <c r="E81" i="1"/>
  <c r="C70" i="1"/>
  <c r="B126" i="1" s="1"/>
  <c r="E97" i="1" l="1"/>
  <c r="B121" i="1" s="1"/>
  <c r="B105" i="1"/>
  <c r="D105" i="1" s="1"/>
  <c r="D121" i="1" l="1"/>
  <c r="F105" i="1"/>
  <c r="G105" i="1" s="1"/>
  <c r="F106" i="1"/>
  <c r="B134" i="1"/>
  <c r="G106" i="1" l="1"/>
  <c r="B128" i="1" s="1"/>
  <c r="G121" i="1" l="1"/>
</calcChain>
</file>

<file path=xl/sharedStrings.xml><?xml version="1.0" encoding="utf-8"?>
<sst xmlns="http://schemas.openxmlformats.org/spreadsheetml/2006/main" count="65" uniqueCount="56">
  <si>
    <t>Fecha ingreso</t>
  </si>
  <si>
    <t>CCT</t>
  </si>
  <si>
    <t>Fecha egreso</t>
  </si>
  <si>
    <t>Antigüedad</t>
  </si>
  <si>
    <t>Categoría</t>
  </si>
  <si>
    <t>Planilla de Capital e Intereses</t>
  </si>
  <si>
    <t>1.Indemnización por antigüedad (Art. 245)</t>
  </si>
  <si>
    <t>Total</t>
  </si>
  <si>
    <t>Importe Demanda</t>
  </si>
  <si>
    <t>Importe que progresa</t>
  </si>
  <si>
    <t>% que progresa</t>
  </si>
  <si>
    <t>3. SAC s/ preavisos</t>
  </si>
  <si>
    <t>2. Indemnización substitutiva del preaviso (Art. 232)</t>
  </si>
  <si>
    <t>Básico</t>
  </si>
  <si>
    <t>Indemnización por antigüedad - 50%</t>
  </si>
  <si>
    <t>Indemnización preaviso - 50%</t>
  </si>
  <si>
    <t>Integración mes de despido - 50%</t>
  </si>
  <si>
    <t>Período</t>
  </si>
  <si>
    <t>Escalafón</t>
  </si>
  <si>
    <t>Diferencia</t>
  </si>
  <si>
    <t>Debió Percibir</t>
  </si>
  <si>
    <t>Percibió</t>
  </si>
  <si>
    <t>Intereses</t>
  </si>
  <si>
    <t>Total al 22/04/2026</t>
  </si>
  <si>
    <t>Resumen Condena</t>
  </si>
  <si>
    <t>JUICIO: "JUAREZ LUCAS ALFREDO c/ CENTRO MEDICO ARGENTA S.R.L s/ COBRO DE PESOS" - EXPTE. N° 369/21.-</t>
  </si>
  <si>
    <t>5 años, 7 meses, 24 días</t>
  </si>
  <si>
    <t>122/75</t>
  </si>
  <si>
    <t>1era Cat. Personal Adm.</t>
  </si>
  <si>
    <t>Adic. p/ horario nocturno</t>
  </si>
  <si>
    <t>4. Días trabajados mes de despido</t>
  </si>
  <si>
    <t>5. Integración mes de despido (Art. 233)</t>
  </si>
  <si>
    <t>6. SAC s/ Integración mes despido</t>
  </si>
  <si>
    <t>7. Vacaciones proporcionales</t>
  </si>
  <si>
    <t>8. SAC s/ Vacaciones proporcionales</t>
  </si>
  <si>
    <t>9. SAC Proporcional</t>
  </si>
  <si>
    <t>10. Multa Art. 80 LCT</t>
  </si>
  <si>
    <t>11. Art. 2 Ley 25.323</t>
  </si>
  <si>
    <t>12. Art. 9 Ley 24.013 (Dic/2013 a Jul/2016)</t>
  </si>
  <si>
    <t>13. Art. 15 Ley 24.013</t>
  </si>
  <si>
    <t>Indemnización por antigüedad - 100%</t>
  </si>
  <si>
    <t>Indemnización preaviso - 100%</t>
  </si>
  <si>
    <t>Integración mes de despido - 100%</t>
  </si>
  <si>
    <t>Total (1 a 13) al 07/08/2019</t>
  </si>
  <si>
    <t>Int. Tasa pasiva BCRA desde el 07/08/2019 al 30/04/2026 - 1.127,46%</t>
  </si>
  <si>
    <t xml:space="preserve"> Total (1 a 13) al 30/04/2026</t>
  </si>
  <si>
    <t>14. Salarios Adeudados y Diferencias Salariales (nov 2019 - oct 2021)</t>
  </si>
  <si>
    <t>Adic. x noct.</t>
  </si>
  <si>
    <t>1° SAC 2018</t>
  </si>
  <si>
    <t>2° SAC 2018</t>
  </si>
  <si>
    <t>1° SAC 2019</t>
  </si>
  <si>
    <t>T. Pasiva BCRA al 30/04/2026</t>
  </si>
  <si>
    <t>Total Rubros 1 al 13 al 30/04/2026</t>
  </si>
  <si>
    <t>Total Rubro 14 al 30/04/2026</t>
  </si>
  <si>
    <t>Total al 30/04/2026</t>
  </si>
  <si>
    <t xml:space="preserve">Base remuneratoria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</si>
</sst>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0.0000"/>
    <numFmt numFmtId="165" formatCode="_-&quot;$&quot;\ * #,##0.0000_-;\-&quot;$&quot;\ * #,##0.0000_-;_-&quot;$&quot;\ * &quot;-&quot;??_-;_-@_-"/>
    <numFmt numFmtId="166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i/>
      <u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44" fontId="0" fillId="0" borderId="0" xfId="1" applyFont="1"/>
    <xf numFmtId="0" fontId="2" fillId="0" borderId="0" xfId="0" applyFont="1"/>
    <xf numFmtId="0" fontId="3" fillId="0" borderId="0" xfId="0" applyFont="1" applyAlignment="1">
      <alignment horizontal="center"/>
    </xf>
    <xf numFmtId="44" fontId="0" fillId="0" borderId="0" xfId="1" applyFont="1" applyAlignment="1">
      <alignment horizontal="left"/>
    </xf>
    <xf numFmtId="0" fontId="2" fillId="0" borderId="0" xfId="0" applyFont="1" applyAlignment="1">
      <alignment horizontal="center"/>
    </xf>
    <xf numFmtId="166" fontId="3" fillId="0" borderId="0" xfId="0" applyNumberFormat="1" applyFont="1" applyAlignment="1">
      <alignment horizontal="center"/>
    </xf>
    <xf numFmtId="166" fontId="1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6" fontId="2" fillId="0" borderId="1" xfId="1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0" fillId="0" borderId="1" xfId="1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65" fontId="0" fillId="0" borderId="0" xfId="0" applyNumberFormat="1"/>
    <xf numFmtId="164" fontId="0" fillId="0" borderId="0" xfId="0" applyNumberFormat="1"/>
    <xf numFmtId="44" fontId="0" fillId="0" borderId="0" xfId="0" applyNumberFormat="1"/>
    <xf numFmtId="17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0" fontId="0" fillId="0" borderId="1" xfId="0" applyBorder="1"/>
    <xf numFmtId="0" fontId="7" fillId="0" borderId="0" xfId="0" applyFont="1"/>
    <xf numFmtId="0" fontId="6" fillId="0" borderId="0" xfId="0" applyFont="1" applyAlignment="1">
      <alignment horizontal="center" vertical="center"/>
    </xf>
    <xf numFmtId="166" fontId="0" fillId="0" borderId="0" xfId="1" applyNumberFormat="1" applyFont="1" applyBorder="1" applyAlignment="1">
      <alignment horizontal="center"/>
    </xf>
    <xf numFmtId="166" fontId="4" fillId="0" borderId="0" xfId="0" applyNumberFormat="1" applyFont="1" applyAlignment="1">
      <alignment horizontal="center"/>
    </xf>
    <xf numFmtId="10" fontId="0" fillId="0" borderId="0" xfId="2" applyNumberFormat="1" applyFont="1"/>
    <xf numFmtId="166" fontId="0" fillId="0" borderId="0" xfId="0" applyNumberFormat="1"/>
    <xf numFmtId="166" fontId="0" fillId="0" borderId="0" xfId="1" applyNumberFormat="1" applyFont="1" applyAlignment="1">
      <alignment horizontal="center"/>
    </xf>
    <xf numFmtId="0" fontId="2" fillId="2" borderId="0" xfId="0" applyFont="1" applyFill="1"/>
    <xf numFmtId="0" fontId="3" fillId="2" borderId="0" xfId="0" applyFont="1" applyFill="1"/>
    <xf numFmtId="166" fontId="2" fillId="2" borderId="0" xfId="0" applyNumberFormat="1" applyFont="1" applyFill="1" applyAlignment="1">
      <alignment horizontal="center"/>
    </xf>
    <xf numFmtId="166" fontId="2" fillId="0" borderId="0" xfId="0" applyNumberFormat="1" applyFont="1" applyAlignment="1">
      <alignment horizontal="center"/>
    </xf>
    <xf numFmtId="166" fontId="4" fillId="2" borderId="0" xfId="0" applyNumberFormat="1" applyFont="1" applyFill="1" applyAlignment="1">
      <alignment horizontal="center"/>
    </xf>
    <xf numFmtId="44" fontId="2" fillId="2" borderId="1" xfId="0" applyNumberFormat="1" applyFont="1" applyFill="1" applyBorder="1" applyAlignment="1">
      <alignment horizontal="center" vertical="center"/>
    </xf>
    <xf numFmtId="44" fontId="2" fillId="2" borderId="1" xfId="0" applyNumberFormat="1" applyFont="1" applyFill="1" applyBorder="1" applyAlignment="1">
      <alignment horizontal="center" vertical="center" wrapText="1"/>
    </xf>
    <xf numFmtId="166" fontId="1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6" fontId="2" fillId="0" borderId="1" xfId="1" applyNumberFormat="1" applyFont="1" applyBorder="1" applyAlignment="1">
      <alignment horizontal="center"/>
    </xf>
    <xf numFmtId="166" fontId="3" fillId="2" borderId="1" xfId="0" applyNumberFormat="1" applyFont="1" applyFill="1" applyBorder="1" applyAlignment="1">
      <alignment horizontal="center" vertical="center"/>
    </xf>
    <xf numFmtId="166" fontId="0" fillId="0" borderId="1" xfId="1" applyNumberFormat="1" applyFon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2" borderId="0" xfId="0" applyFont="1" applyFill="1" applyAlignment="1">
      <alignment horizontal="center"/>
    </xf>
    <xf numFmtId="166" fontId="3" fillId="2" borderId="0" xfId="0" applyNumberFormat="1" applyFont="1" applyFill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4"/>
  <sheetViews>
    <sheetView tabSelected="1" topLeftCell="A118" workbookViewId="0">
      <selection activeCell="C123" sqref="C123"/>
    </sheetView>
  </sheetViews>
  <sheetFormatPr defaultRowHeight="15" x14ac:dyDescent="0.25"/>
  <cols>
    <col min="1" max="1" width="37" customWidth="1"/>
    <col min="2" max="2" width="33.85546875" customWidth="1"/>
    <col min="3" max="3" width="21.85546875" bestFit="1" customWidth="1"/>
    <col min="4" max="4" width="14.85546875" bestFit="1" customWidth="1"/>
    <col min="5" max="5" width="13.5703125" bestFit="1" customWidth="1"/>
    <col min="6" max="6" width="13.42578125" customWidth="1"/>
    <col min="7" max="7" width="18.5703125" bestFit="1" customWidth="1"/>
  </cols>
  <sheetData>
    <row r="1" spans="1:4" x14ac:dyDescent="0.25">
      <c r="A1" s="27" t="s">
        <v>25</v>
      </c>
    </row>
    <row r="2" spans="1:4" x14ac:dyDescent="0.25">
      <c r="A2" s="2"/>
    </row>
    <row r="4" spans="1:4" x14ac:dyDescent="0.25">
      <c r="A4" t="s">
        <v>0</v>
      </c>
      <c r="B4" s="13">
        <v>41621</v>
      </c>
      <c r="C4" s="14"/>
      <c r="D4" s="15"/>
    </row>
    <row r="5" spans="1:4" x14ac:dyDescent="0.25">
      <c r="A5" t="s">
        <v>2</v>
      </c>
      <c r="B5" s="13">
        <v>43684</v>
      </c>
      <c r="C5" s="15"/>
    </row>
    <row r="6" spans="1:4" x14ac:dyDescent="0.25">
      <c r="A6" t="s">
        <v>3</v>
      </c>
      <c r="B6" s="16" t="s">
        <v>26</v>
      </c>
    </row>
    <row r="7" spans="1:4" x14ac:dyDescent="0.25">
      <c r="A7" t="s">
        <v>4</v>
      </c>
      <c r="B7" s="28" t="s">
        <v>28</v>
      </c>
      <c r="C7" s="28"/>
    </row>
    <row r="8" spans="1:4" x14ac:dyDescent="0.25">
      <c r="A8" t="s">
        <v>1</v>
      </c>
      <c r="B8" s="17" t="s">
        <v>27</v>
      </c>
    </row>
    <row r="9" spans="1:4" x14ac:dyDescent="0.25">
      <c r="B9" s="18"/>
    </row>
    <row r="11" spans="1:4" x14ac:dyDescent="0.25">
      <c r="A11" s="51" t="s">
        <v>55</v>
      </c>
      <c r="B11" s="51"/>
    </row>
    <row r="12" spans="1:4" x14ac:dyDescent="0.25">
      <c r="A12" s="3"/>
      <c r="B12" s="3"/>
    </row>
    <row r="13" spans="1:4" x14ac:dyDescent="0.25">
      <c r="A13" s="17" t="s">
        <v>13</v>
      </c>
      <c r="B13" s="29">
        <v>29614.22</v>
      </c>
      <c r="C13" s="19"/>
    </row>
    <row r="14" spans="1:4" x14ac:dyDescent="0.25">
      <c r="A14" s="17" t="s">
        <v>18</v>
      </c>
      <c r="B14" s="29">
        <f>+B13*0.01*4</f>
        <v>1184.5688</v>
      </c>
      <c r="C14" s="31"/>
    </row>
    <row r="15" spans="1:4" x14ac:dyDescent="0.25">
      <c r="A15" s="17" t="s">
        <v>29</v>
      </c>
      <c r="B15" s="29">
        <f>+ROUND(B13*0.1,2)</f>
        <v>2961.42</v>
      </c>
      <c r="C15" s="19"/>
    </row>
    <row r="16" spans="1:4" ht="17.25" x14ac:dyDescent="0.4">
      <c r="A16" s="5" t="s">
        <v>7</v>
      </c>
      <c r="B16" s="30">
        <f>SUM(B13:B15)</f>
        <v>33760.2088</v>
      </c>
    </row>
    <row r="17" spans="1:6" x14ac:dyDescent="0.25">
      <c r="A17" s="17"/>
    </row>
    <row r="18" spans="1:6" x14ac:dyDescent="0.25">
      <c r="A18" s="17"/>
    </row>
    <row r="19" spans="1:6" x14ac:dyDescent="0.25">
      <c r="A19" s="49" t="s">
        <v>5</v>
      </c>
      <c r="B19" s="49"/>
      <c r="C19" s="49"/>
      <c r="D19" s="49"/>
      <c r="E19" s="49"/>
      <c r="F19" s="49"/>
    </row>
    <row r="22" spans="1:6" x14ac:dyDescent="0.25">
      <c r="A22" s="50" t="s">
        <v>6</v>
      </c>
      <c r="B22" s="50"/>
      <c r="C22" s="33">
        <f>+B16*6</f>
        <v>202561.25280000002</v>
      </c>
      <c r="E22" s="20"/>
    </row>
    <row r="23" spans="1:6" x14ac:dyDescent="0.25">
      <c r="A23" t="str">
        <f>+"$" &amp;TEXT($B$16,"#.##0,00")&amp; " * 6 años"</f>
        <v>$33.760,21 * 6 años</v>
      </c>
      <c r="C23" s="25"/>
    </row>
    <row r="24" spans="1:6" x14ac:dyDescent="0.25">
      <c r="C24" s="25"/>
    </row>
    <row r="25" spans="1:6" x14ac:dyDescent="0.25">
      <c r="A25" s="2" t="s">
        <v>12</v>
      </c>
      <c r="C25" s="33">
        <f>+B16*2</f>
        <v>67520.417600000001</v>
      </c>
    </row>
    <row r="26" spans="1:6" x14ac:dyDescent="0.25">
      <c r="A26" t="str">
        <f>+"$" &amp;TEXT($B$16,"#.##0,00")&amp; " * 2 meses"</f>
        <v>$33.760,21 * 2 meses</v>
      </c>
      <c r="C26" s="25"/>
    </row>
    <row r="27" spans="1:6" x14ac:dyDescent="0.25">
      <c r="C27" s="25"/>
    </row>
    <row r="28" spans="1:6" x14ac:dyDescent="0.25">
      <c r="A28" s="2" t="s">
        <v>11</v>
      </c>
      <c r="C28" s="33">
        <f>+C25/12</f>
        <v>5626.7014666666664</v>
      </c>
    </row>
    <row r="29" spans="1:6" x14ac:dyDescent="0.25">
      <c r="A29" t="str">
        <f>+"$" &amp;TEXT($C$25,"#.##0,00")&amp; " / 12"</f>
        <v>$67.520,42 / 12</v>
      </c>
      <c r="C29" s="25"/>
    </row>
    <row r="30" spans="1:6" x14ac:dyDescent="0.25">
      <c r="C30" s="25"/>
    </row>
    <row r="31" spans="1:6" x14ac:dyDescent="0.25">
      <c r="A31" s="2" t="s">
        <v>30</v>
      </c>
      <c r="C31" s="33">
        <f>+B16/31*7</f>
        <v>7623.2729548387088</v>
      </c>
    </row>
    <row r="32" spans="1:6" x14ac:dyDescent="0.25">
      <c r="A32" t="str">
        <f>+"$" &amp;TEXT($B$16,"#.##0,00")&amp; " / 31 * 7 días"</f>
        <v>$33.760,21 / 31 * 7 días</v>
      </c>
      <c r="C32" s="25"/>
    </row>
    <row r="33" spans="1:4" x14ac:dyDescent="0.25">
      <c r="C33" s="25"/>
    </row>
    <row r="34" spans="1:4" x14ac:dyDescent="0.25">
      <c r="A34" s="2" t="s">
        <v>31</v>
      </c>
      <c r="C34" s="33">
        <f>+B16/31*24</f>
        <v>26136.935845161286</v>
      </c>
      <c r="D34" s="21"/>
    </row>
    <row r="35" spans="1:4" x14ac:dyDescent="0.25">
      <c r="A35" t="str">
        <f>+"$" &amp;TEXT($B$16,"#.##0,00")&amp; " / 31 * 24 días"</f>
        <v>$33.760,21 / 31 * 24 días</v>
      </c>
      <c r="C35" s="25"/>
    </row>
    <row r="36" spans="1:4" x14ac:dyDescent="0.25">
      <c r="C36" s="25"/>
    </row>
    <row r="37" spans="1:4" x14ac:dyDescent="0.25">
      <c r="A37" s="2" t="s">
        <v>32</v>
      </c>
      <c r="C37" s="33">
        <f>+C34/12</f>
        <v>2178.077987096774</v>
      </c>
    </row>
    <row r="38" spans="1:4" x14ac:dyDescent="0.25">
      <c r="A38" t="str">
        <f>+"$" &amp;TEXT($C$34,"#.##0,00")&amp; " / 12"</f>
        <v>$26.136,94 / 12</v>
      </c>
      <c r="C38" s="25"/>
    </row>
    <row r="39" spans="1:4" x14ac:dyDescent="0.25">
      <c r="C39" s="25"/>
    </row>
    <row r="40" spans="1:4" x14ac:dyDescent="0.25">
      <c r="A40" s="2" t="s">
        <v>33</v>
      </c>
      <c r="C40" s="33">
        <f>+B16/25*21*219/365</f>
        <v>17015.145235199998</v>
      </c>
    </row>
    <row r="41" spans="1:4" x14ac:dyDescent="0.25">
      <c r="A41" t="str">
        <f>+"$" &amp;TEXT($B$16,"#.##0,00")&amp; " / 25 * (21 * 219 /365)"</f>
        <v>$33.760,21 / 25 * (21 * 219 /365)</v>
      </c>
      <c r="B41" s="4"/>
      <c r="C41" s="25"/>
    </row>
    <row r="42" spans="1:4" x14ac:dyDescent="0.25">
      <c r="B42" s="4"/>
      <c r="C42" s="25"/>
    </row>
    <row r="43" spans="1:4" x14ac:dyDescent="0.25">
      <c r="A43" s="2" t="s">
        <v>34</v>
      </c>
      <c r="B43" s="4"/>
      <c r="C43" s="25">
        <f>+C40/12</f>
        <v>1417.9287695999999</v>
      </c>
    </row>
    <row r="44" spans="1:4" x14ac:dyDescent="0.25">
      <c r="A44" t="str">
        <f>+"$" &amp;TEXT($C$34,"#.##0,00")&amp; " / 12"</f>
        <v>$26.136,94 / 12</v>
      </c>
      <c r="B44" s="4"/>
      <c r="C44" s="25"/>
    </row>
    <row r="45" spans="1:4" x14ac:dyDescent="0.25">
      <c r="B45" s="4"/>
      <c r="C45" s="25"/>
    </row>
    <row r="46" spans="1:4" x14ac:dyDescent="0.25">
      <c r="A46" s="2" t="s">
        <v>35</v>
      </c>
      <c r="B46" s="4"/>
      <c r="C46" s="25">
        <f>+B16/365*38</f>
        <v>3514.7614641095888</v>
      </c>
    </row>
    <row r="47" spans="1:4" x14ac:dyDescent="0.25">
      <c r="A47" t="str">
        <f>+"$" &amp;TEXT($B$16,"#.##0,00")&amp; " / 365 * 38 días"</f>
        <v>$33.760,21 / 365 * 38 días</v>
      </c>
      <c r="B47" s="4"/>
      <c r="C47" s="25"/>
    </row>
    <row r="48" spans="1:4" x14ac:dyDescent="0.25">
      <c r="B48" s="4"/>
      <c r="C48" s="25"/>
    </row>
    <row r="49" spans="1:3" x14ac:dyDescent="0.25">
      <c r="A49" s="2" t="s">
        <v>36</v>
      </c>
      <c r="B49" s="1"/>
      <c r="C49" s="33">
        <f>+B16*3</f>
        <v>101280.62640000001</v>
      </c>
    </row>
    <row r="50" spans="1:3" x14ac:dyDescent="0.25">
      <c r="A50" t="str">
        <f>+"$" &amp;TEXT($B$16,"#.##0,00")&amp; " * 3"</f>
        <v>$33.760,21 * 3</v>
      </c>
      <c r="B50" s="1"/>
      <c r="C50" s="25"/>
    </row>
    <row r="51" spans="1:3" x14ac:dyDescent="0.25">
      <c r="B51" s="1"/>
      <c r="C51" s="17"/>
    </row>
    <row r="52" spans="1:3" x14ac:dyDescent="0.25">
      <c r="A52" s="2" t="s">
        <v>37</v>
      </c>
      <c r="B52" s="1"/>
      <c r="C52" s="33">
        <f>+SUM(B53:B55)</f>
        <v>148109.30312258063</v>
      </c>
    </row>
    <row r="53" spans="1:3" x14ac:dyDescent="0.25">
      <c r="A53" t="s">
        <v>14</v>
      </c>
      <c r="B53" s="33">
        <f>+C22*0.5</f>
        <v>101280.62640000001</v>
      </c>
      <c r="C53" s="33"/>
    </row>
    <row r="54" spans="1:3" x14ac:dyDescent="0.25">
      <c r="A54" t="s">
        <v>15</v>
      </c>
      <c r="B54" s="33">
        <f>+C25*0.5</f>
        <v>33760.2088</v>
      </c>
      <c r="C54" s="33"/>
    </row>
    <row r="55" spans="1:3" x14ac:dyDescent="0.25">
      <c r="A55" t="s">
        <v>16</v>
      </c>
      <c r="B55" s="33">
        <f>+C34*0.5</f>
        <v>13068.467922580643</v>
      </c>
      <c r="C55" s="33"/>
    </row>
    <row r="56" spans="1:3" x14ac:dyDescent="0.25">
      <c r="A56" s="2"/>
      <c r="B56" s="1"/>
      <c r="C56" s="33"/>
    </row>
    <row r="57" spans="1:3" x14ac:dyDescent="0.25">
      <c r="A57" s="2" t="s">
        <v>38</v>
      </c>
      <c r="B57" s="1"/>
      <c r="C57" s="33">
        <f>+B16*31*0.25</f>
        <v>261641.6182</v>
      </c>
    </row>
    <row r="58" spans="1:3" x14ac:dyDescent="0.25">
      <c r="A58" t="str">
        <f>+"1/4 * $" &amp;TEXT($B$16,"#.##0,00")&amp; " * 31 meses"</f>
        <v>1/4 * $33.760,21 * 31 meses</v>
      </c>
      <c r="B58" s="1"/>
      <c r="C58" s="33"/>
    </row>
    <row r="59" spans="1:3" x14ac:dyDescent="0.25">
      <c r="A59" s="2"/>
      <c r="B59" s="1"/>
      <c r="C59" s="33"/>
    </row>
    <row r="60" spans="1:3" x14ac:dyDescent="0.25">
      <c r="A60" s="2" t="s">
        <v>39</v>
      </c>
      <c r="B60" s="1"/>
      <c r="C60" s="33">
        <f>+SUM(B61:B63)</f>
        <v>296218.60624516127</v>
      </c>
    </row>
    <row r="61" spans="1:3" x14ac:dyDescent="0.25">
      <c r="A61" t="s">
        <v>40</v>
      </c>
      <c r="B61" s="33">
        <f>+C22</f>
        <v>202561.25280000002</v>
      </c>
      <c r="C61" s="25"/>
    </row>
    <row r="62" spans="1:3" x14ac:dyDescent="0.25">
      <c r="A62" t="s">
        <v>41</v>
      </c>
      <c r="B62" s="33">
        <f>+C25</f>
        <v>67520.417600000001</v>
      </c>
      <c r="C62" s="25"/>
    </row>
    <row r="63" spans="1:3" x14ac:dyDescent="0.25">
      <c r="A63" t="s">
        <v>42</v>
      </c>
      <c r="B63" s="33">
        <f>+C34</f>
        <v>26136.935845161286</v>
      </c>
      <c r="C63" s="25"/>
    </row>
    <row r="64" spans="1:3" x14ac:dyDescent="0.25">
      <c r="B64" s="1"/>
      <c r="C64" s="25"/>
    </row>
    <row r="65" spans="1:5" x14ac:dyDescent="0.25">
      <c r="B65" s="1"/>
      <c r="C65" s="17"/>
    </row>
    <row r="66" spans="1:5" x14ac:dyDescent="0.25">
      <c r="A66" s="34" t="s">
        <v>43</v>
      </c>
      <c r="B66" s="2"/>
      <c r="C66" s="36">
        <f>+SUM(C22:C65)</f>
        <v>1140844.6480904149</v>
      </c>
      <c r="E66" s="32"/>
    </row>
    <row r="67" spans="1:5" x14ac:dyDescent="0.25">
      <c r="C67" s="25"/>
    </row>
    <row r="68" spans="1:5" x14ac:dyDescent="0.25">
      <c r="A68" s="52" t="s">
        <v>44</v>
      </c>
      <c r="B68" s="52"/>
      <c r="C68" s="33">
        <f>+C66*1127.46/100</f>
        <v>12862567.069360191</v>
      </c>
    </row>
    <row r="69" spans="1:5" x14ac:dyDescent="0.25">
      <c r="C69" s="37"/>
    </row>
    <row r="70" spans="1:5" ht="17.25" x14ac:dyDescent="0.4">
      <c r="A70" s="35" t="s">
        <v>45</v>
      </c>
      <c r="C70" s="38">
        <f>+C68+C66</f>
        <v>14003411.717450606</v>
      </c>
    </row>
    <row r="73" spans="1:5" x14ac:dyDescent="0.25">
      <c r="A73" s="2" t="s">
        <v>46</v>
      </c>
    </row>
    <row r="75" spans="1:5" x14ac:dyDescent="0.25">
      <c r="A75" s="39" t="s">
        <v>17</v>
      </c>
      <c r="B75" s="39" t="s">
        <v>13</v>
      </c>
      <c r="C75" s="40" t="s">
        <v>18</v>
      </c>
      <c r="D75" s="40" t="s">
        <v>47</v>
      </c>
      <c r="E75" s="39" t="s">
        <v>7</v>
      </c>
    </row>
    <row r="76" spans="1:5" x14ac:dyDescent="0.25">
      <c r="A76" s="22">
        <v>43132</v>
      </c>
      <c r="B76" s="11">
        <v>17333.2</v>
      </c>
      <c r="C76" s="11">
        <f>+B76*0.01*4</f>
        <v>693.32800000000009</v>
      </c>
      <c r="D76" s="11">
        <f>+B76*0.1</f>
        <v>1733.3200000000002</v>
      </c>
      <c r="E76" s="11">
        <f t="shared" ref="E76:E81" si="0">+SUM(B76:D76)</f>
        <v>19759.848000000002</v>
      </c>
    </row>
    <row r="77" spans="1:5" x14ac:dyDescent="0.25">
      <c r="A77" s="22">
        <v>43160</v>
      </c>
      <c r="B77" s="11">
        <v>17333.2</v>
      </c>
      <c r="C77" s="11">
        <f t="shared" ref="C77:C96" si="1">+B77*0.01*4</f>
        <v>693.32800000000009</v>
      </c>
      <c r="D77" s="11">
        <f>+B77*0.1</f>
        <v>1733.3200000000002</v>
      </c>
      <c r="E77" s="11">
        <f t="shared" si="0"/>
        <v>19759.848000000002</v>
      </c>
    </row>
    <row r="78" spans="1:5" x14ac:dyDescent="0.25">
      <c r="A78" s="22">
        <v>43191</v>
      </c>
      <c r="B78" s="11">
        <v>17333.2</v>
      </c>
      <c r="C78" s="11">
        <f t="shared" si="1"/>
        <v>693.32800000000009</v>
      </c>
      <c r="D78" s="11">
        <f>+B78*0.1</f>
        <v>1733.3200000000002</v>
      </c>
      <c r="E78" s="11">
        <f t="shared" si="0"/>
        <v>19759.848000000002</v>
      </c>
    </row>
    <row r="79" spans="1:5" x14ac:dyDescent="0.25">
      <c r="A79" s="22">
        <v>43221</v>
      </c>
      <c r="B79" s="11">
        <v>17333.2</v>
      </c>
      <c r="C79" s="11">
        <f t="shared" si="1"/>
        <v>693.32800000000009</v>
      </c>
      <c r="D79" s="11">
        <f>+B79*0.1</f>
        <v>1733.3200000000002</v>
      </c>
      <c r="E79" s="11">
        <f t="shared" si="0"/>
        <v>19759.848000000002</v>
      </c>
    </row>
    <row r="80" spans="1:5" x14ac:dyDescent="0.25">
      <c r="A80" s="22">
        <v>43252</v>
      </c>
      <c r="B80" s="11">
        <v>17333.2</v>
      </c>
      <c r="C80" s="11">
        <f t="shared" si="1"/>
        <v>693.32800000000009</v>
      </c>
      <c r="D80" s="11">
        <f>+B80*0.1</f>
        <v>1733.3200000000002</v>
      </c>
      <c r="E80" s="11">
        <f t="shared" si="0"/>
        <v>19759.848000000002</v>
      </c>
    </row>
    <row r="81" spans="1:5" x14ac:dyDescent="0.25">
      <c r="A81" s="22" t="s">
        <v>48</v>
      </c>
      <c r="B81" s="11">
        <f>+E80/2</f>
        <v>9879.9240000000009</v>
      </c>
      <c r="C81" s="11">
        <v>0</v>
      </c>
      <c r="D81" s="11">
        <v>0</v>
      </c>
      <c r="E81" s="11">
        <f t="shared" si="0"/>
        <v>9879.9240000000009</v>
      </c>
    </row>
    <row r="82" spans="1:5" x14ac:dyDescent="0.25">
      <c r="A82" s="22">
        <v>43282</v>
      </c>
      <c r="B82" s="11">
        <v>19816.68</v>
      </c>
      <c r="C82" s="11">
        <f t="shared" si="1"/>
        <v>792.66719999999998</v>
      </c>
      <c r="D82" s="11">
        <f t="shared" ref="D82:D87" si="2">+B82*0.1</f>
        <v>1981.6680000000001</v>
      </c>
      <c r="E82" s="11">
        <f t="shared" ref="E82:E96" si="3">+SUM(B82:D82)</f>
        <v>22591.015200000002</v>
      </c>
    </row>
    <row r="83" spans="1:5" x14ac:dyDescent="0.25">
      <c r="A83" s="22">
        <v>43313</v>
      </c>
      <c r="B83" s="11">
        <v>20717.43</v>
      </c>
      <c r="C83" s="11">
        <f t="shared" si="1"/>
        <v>828.69720000000007</v>
      </c>
      <c r="D83" s="11">
        <f t="shared" si="2"/>
        <v>2071.7429999999999</v>
      </c>
      <c r="E83" s="11">
        <f t="shared" si="3"/>
        <v>23617.870199999998</v>
      </c>
    </row>
    <row r="84" spans="1:5" x14ac:dyDescent="0.25">
      <c r="A84" s="22">
        <v>43344</v>
      </c>
      <c r="B84" s="11">
        <v>20717.43</v>
      </c>
      <c r="C84" s="11">
        <f t="shared" si="1"/>
        <v>828.69720000000007</v>
      </c>
      <c r="D84" s="11">
        <f t="shared" si="2"/>
        <v>2071.7429999999999</v>
      </c>
      <c r="E84" s="11">
        <f t="shared" si="3"/>
        <v>23617.870199999998</v>
      </c>
    </row>
    <row r="85" spans="1:5" x14ac:dyDescent="0.25">
      <c r="A85" s="22">
        <v>43374</v>
      </c>
      <c r="B85" s="11">
        <v>21618.19</v>
      </c>
      <c r="C85" s="11">
        <f t="shared" si="1"/>
        <v>864.72759999999994</v>
      </c>
      <c r="D85" s="11">
        <f t="shared" si="2"/>
        <v>2161.819</v>
      </c>
      <c r="E85" s="11">
        <f t="shared" si="3"/>
        <v>24644.736599999997</v>
      </c>
    </row>
    <row r="86" spans="1:5" x14ac:dyDescent="0.25">
      <c r="A86" s="22">
        <v>43405</v>
      </c>
      <c r="B86" s="11">
        <v>22518.95</v>
      </c>
      <c r="C86" s="11">
        <f t="shared" si="1"/>
        <v>900.75800000000004</v>
      </c>
      <c r="D86" s="11">
        <f t="shared" si="2"/>
        <v>2251.895</v>
      </c>
      <c r="E86" s="11">
        <f t="shared" si="3"/>
        <v>25671.603000000003</v>
      </c>
    </row>
    <row r="87" spans="1:5" x14ac:dyDescent="0.25">
      <c r="A87" s="22">
        <v>43435</v>
      </c>
      <c r="B87" s="11">
        <v>22518.95</v>
      </c>
      <c r="C87" s="11">
        <f t="shared" si="1"/>
        <v>900.75800000000004</v>
      </c>
      <c r="D87" s="11">
        <f t="shared" si="2"/>
        <v>2251.895</v>
      </c>
      <c r="E87" s="11">
        <f t="shared" si="3"/>
        <v>25671.603000000003</v>
      </c>
    </row>
    <row r="88" spans="1:5" x14ac:dyDescent="0.25">
      <c r="A88" s="22" t="s">
        <v>49</v>
      </c>
      <c r="B88" s="11">
        <f>+E87/2</f>
        <v>12835.801500000001</v>
      </c>
      <c r="C88" s="11">
        <v>0</v>
      </c>
      <c r="D88" s="11">
        <v>0</v>
      </c>
      <c r="E88" s="11">
        <f t="shared" si="3"/>
        <v>12835.801500000001</v>
      </c>
    </row>
    <row r="89" spans="1:5" x14ac:dyDescent="0.25">
      <c r="A89" s="22">
        <v>43466</v>
      </c>
      <c r="B89" s="11">
        <v>22518.95</v>
      </c>
      <c r="C89" s="11">
        <f t="shared" si="1"/>
        <v>900.75800000000004</v>
      </c>
      <c r="D89" s="11">
        <f>+B89*0.1</f>
        <v>2251.895</v>
      </c>
      <c r="E89" s="11">
        <f>+SUM(B89:D89)</f>
        <v>25671.603000000003</v>
      </c>
    </row>
    <row r="90" spans="1:5" x14ac:dyDescent="0.25">
      <c r="A90" s="22">
        <v>43497</v>
      </c>
      <c r="B90" s="11">
        <v>22969.33</v>
      </c>
      <c r="C90" s="11">
        <f t="shared" si="1"/>
        <v>918.77320000000009</v>
      </c>
      <c r="D90" s="11">
        <f t="shared" ref="D90:D96" si="4">+B90*0.1</f>
        <v>2296.9330000000004</v>
      </c>
      <c r="E90" s="11">
        <f t="shared" si="3"/>
        <v>26185.036200000002</v>
      </c>
    </row>
    <row r="91" spans="1:5" x14ac:dyDescent="0.25">
      <c r="A91" s="22">
        <v>43525</v>
      </c>
      <c r="B91" s="11">
        <v>24050.240000000002</v>
      </c>
      <c r="C91" s="11">
        <f t="shared" si="1"/>
        <v>962.00960000000009</v>
      </c>
      <c r="D91" s="11">
        <f t="shared" si="4"/>
        <v>2405.0240000000003</v>
      </c>
      <c r="E91" s="11">
        <f t="shared" si="3"/>
        <v>27417.273600000004</v>
      </c>
    </row>
    <row r="92" spans="1:5" x14ac:dyDescent="0.25">
      <c r="A92" s="22">
        <v>43556</v>
      </c>
      <c r="B92" s="11">
        <v>25311.3</v>
      </c>
      <c r="C92" s="11">
        <f t="shared" si="1"/>
        <v>1012.452</v>
      </c>
      <c r="D92" s="11">
        <f t="shared" si="4"/>
        <v>2531.13</v>
      </c>
      <c r="E92" s="11">
        <f t="shared" si="3"/>
        <v>28854.882000000001</v>
      </c>
    </row>
    <row r="93" spans="1:5" x14ac:dyDescent="0.25">
      <c r="A93" s="22">
        <v>43586</v>
      </c>
      <c r="B93" s="11">
        <v>25311.3</v>
      </c>
      <c r="C93" s="11">
        <f t="shared" si="1"/>
        <v>1012.452</v>
      </c>
      <c r="D93" s="11">
        <f t="shared" si="4"/>
        <v>2531.13</v>
      </c>
      <c r="E93" s="11">
        <f t="shared" si="3"/>
        <v>28854.882000000001</v>
      </c>
    </row>
    <row r="94" spans="1:5" x14ac:dyDescent="0.25">
      <c r="A94" s="22">
        <v>43617</v>
      </c>
      <c r="B94" s="11">
        <v>35311.300000000003</v>
      </c>
      <c r="C94" s="11">
        <f t="shared" si="1"/>
        <v>1412.4520000000002</v>
      </c>
      <c r="D94" s="11">
        <f t="shared" si="4"/>
        <v>3531.1300000000006</v>
      </c>
      <c r="E94" s="11">
        <f t="shared" si="3"/>
        <v>40254.881999999998</v>
      </c>
    </row>
    <row r="95" spans="1:5" x14ac:dyDescent="0.25">
      <c r="A95" s="22" t="s">
        <v>50</v>
      </c>
      <c r="B95" s="11">
        <f>+E94/2</f>
        <v>20127.440999999999</v>
      </c>
      <c r="C95" s="11">
        <v>0</v>
      </c>
      <c r="D95" s="11">
        <v>0</v>
      </c>
      <c r="E95" s="11">
        <f t="shared" si="3"/>
        <v>20127.440999999999</v>
      </c>
    </row>
    <row r="96" spans="1:5" x14ac:dyDescent="0.25">
      <c r="A96" s="22">
        <v>43647</v>
      </c>
      <c r="B96" s="11">
        <v>27842.43</v>
      </c>
      <c r="C96" s="11">
        <f t="shared" si="1"/>
        <v>1113.6972000000001</v>
      </c>
      <c r="D96" s="11">
        <f t="shared" si="4"/>
        <v>2784.2430000000004</v>
      </c>
      <c r="E96" s="11">
        <f t="shared" si="3"/>
        <v>31740.370199999998</v>
      </c>
    </row>
    <row r="97" spans="1:7" x14ac:dyDescent="0.25">
      <c r="A97" s="8" t="s">
        <v>7</v>
      </c>
      <c r="B97" s="10">
        <f>SUM(B76:B96)</f>
        <v>440731.64649999997</v>
      </c>
      <c r="C97" s="10">
        <f>SUM(C76:C96)</f>
        <v>15915.539199999997</v>
      </c>
      <c r="D97" s="10">
        <f>SUM(D76:D96)</f>
        <v>39788.848000000005</v>
      </c>
      <c r="E97" s="12">
        <f>SUM(E76:E96)</f>
        <v>496436.03369999997</v>
      </c>
    </row>
    <row r="98" spans="1:7" x14ac:dyDescent="0.25">
      <c r="A98" s="5"/>
      <c r="B98" s="5"/>
      <c r="C98" s="5"/>
      <c r="D98" s="5"/>
      <c r="E98" s="5"/>
      <c r="F98" s="6"/>
    </row>
    <row r="99" spans="1:7" ht="45" x14ac:dyDescent="0.25">
      <c r="A99" s="40" t="s">
        <v>17</v>
      </c>
      <c r="B99" s="40" t="s">
        <v>20</v>
      </c>
      <c r="C99" s="40" t="s">
        <v>21</v>
      </c>
      <c r="D99" s="40" t="s">
        <v>19</v>
      </c>
      <c r="E99" s="40" t="s">
        <v>51</v>
      </c>
      <c r="F99" s="40" t="s">
        <v>22</v>
      </c>
      <c r="G99" s="40" t="s">
        <v>23</v>
      </c>
    </row>
    <row r="100" spans="1:7" x14ac:dyDescent="0.25">
      <c r="A100" s="22">
        <v>43132</v>
      </c>
      <c r="B100" s="11">
        <f>+E76</f>
        <v>19759.848000000002</v>
      </c>
      <c r="C100" s="23">
        <v>6500</v>
      </c>
      <c r="D100" s="11">
        <f>+B100-C100</f>
        <v>13259.848000000002</v>
      </c>
      <c r="E100" s="24">
        <v>17.650300000000001</v>
      </c>
      <c r="F100" s="23">
        <f>+E100*D100</f>
        <v>234040.29515440005</v>
      </c>
      <c r="G100" s="23">
        <f>+F100+D100</f>
        <v>247300.14315440005</v>
      </c>
    </row>
    <row r="101" spans="1:7" x14ac:dyDescent="0.25">
      <c r="A101" s="22">
        <v>43160</v>
      </c>
      <c r="B101" s="11">
        <f t="shared" ref="B101:B121" si="5">+E77</f>
        <v>19759.848000000002</v>
      </c>
      <c r="C101" s="23">
        <v>6500</v>
      </c>
      <c r="D101" s="11">
        <f t="shared" ref="D101:D120" si="6">+B101-C101</f>
        <v>13259.848000000002</v>
      </c>
      <c r="E101" s="24">
        <v>17.411200000000001</v>
      </c>
      <c r="F101" s="23">
        <f t="shared" ref="F101:F108" si="7">+E101*D101</f>
        <v>230869.86549760005</v>
      </c>
      <c r="G101" s="23">
        <f t="shared" ref="G101:G108" si="8">+F101+D101</f>
        <v>244129.71349760005</v>
      </c>
    </row>
    <row r="102" spans="1:7" x14ac:dyDescent="0.25">
      <c r="A102" s="22">
        <v>43191</v>
      </c>
      <c r="B102" s="11">
        <f t="shared" si="5"/>
        <v>19759.848000000002</v>
      </c>
      <c r="C102" s="23">
        <v>6500</v>
      </c>
      <c r="D102" s="11">
        <f t="shared" si="6"/>
        <v>13259.848000000002</v>
      </c>
      <c r="E102" s="24">
        <v>17.185300000000002</v>
      </c>
      <c r="F102" s="23">
        <f t="shared" si="7"/>
        <v>227874.46583440006</v>
      </c>
      <c r="G102" s="23">
        <f t="shared" si="8"/>
        <v>241134.31383440006</v>
      </c>
    </row>
    <row r="103" spans="1:7" x14ac:dyDescent="0.25">
      <c r="A103" s="22">
        <v>43221</v>
      </c>
      <c r="B103" s="11">
        <f t="shared" si="5"/>
        <v>19759.848000000002</v>
      </c>
      <c r="C103" s="23">
        <v>6500</v>
      </c>
      <c r="D103" s="11">
        <f t="shared" si="6"/>
        <v>13259.848000000002</v>
      </c>
      <c r="E103" s="24">
        <v>16.9056</v>
      </c>
      <c r="F103" s="23">
        <f t="shared" si="7"/>
        <v>224165.68634880002</v>
      </c>
      <c r="G103" s="23">
        <f t="shared" si="8"/>
        <v>237425.53434880002</v>
      </c>
    </row>
    <row r="104" spans="1:7" x14ac:dyDescent="0.25">
      <c r="A104" s="22">
        <v>43252</v>
      </c>
      <c r="B104" s="11">
        <f t="shared" si="5"/>
        <v>19759.848000000002</v>
      </c>
      <c r="C104" s="7">
        <f>+C102</f>
        <v>6500</v>
      </c>
      <c r="D104" s="7">
        <f t="shared" si="6"/>
        <v>13259.848000000002</v>
      </c>
      <c r="E104" s="24">
        <v>16.627800000000001</v>
      </c>
      <c r="F104" s="23">
        <f t="shared" si="7"/>
        <v>220482.10057440004</v>
      </c>
      <c r="G104" s="23">
        <f t="shared" si="8"/>
        <v>233741.94857440004</v>
      </c>
    </row>
    <row r="105" spans="1:7" x14ac:dyDescent="0.25">
      <c r="A105" s="22" t="s">
        <v>48</v>
      </c>
      <c r="B105" s="11">
        <f t="shared" si="5"/>
        <v>9879.9240000000009</v>
      </c>
      <c r="C105" s="7">
        <v>0</v>
      </c>
      <c r="D105" s="7">
        <f t="shared" si="6"/>
        <v>9879.9240000000009</v>
      </c>
      <c r="E105" s="24">
        <f>+E104</f>
        <v>16.627800000000001</v>
      </c>
      <c r="F105" s="23">
        <f t="shared" si="7"/>
        <v>164281.40028720003</v>
      </c>
      <c r="G105" s="23">
        <f t="shared" si="8"/>
        <v>174161.32428720003</v>
      </c>
    </row>
    <row r="106" spans="1:7" x14ac:dyDescent="0.25">
      <c r="A106" s="22">
        <v>43282</v>
      </c>
      <c r="B106" s="11">
        <f t="shared" si="5"/>
        <v>22591.015200000002</v>
      </c>
      <c r="C106" s="7">
        <v>6500</v>
      </c>
      <c r="D106" s="7">
        <f t="shared" si="6"/>
        <v>16091.015200000002</v>
      </c>
      <c r="E106" s="24">
        <v>16.285699999999999</v>
      </c>
      <c r="F106" s="23">
        <f t="shared" si="7"/>
        <v>262053.44624264</v>
      </c>
      <c r="G106" s="23">
        <f t="shared" si="8"/>
        <v>278144.46144263999</v>
      </c>
    </row>
    <row r="107" spans="1:7" x14ac:dyDescent="0.25">
      <c r="A107" s="22">
        <v>43313</v>
      </c>
      <c r="B107" s="11">
        <f t="shared" si="5"/>
        <v>23617.870199999998</v>
      </c>
      <c r="C107" s="7">
        <v>6500</v>
      </c>
      <c r="D107" s="7">
        <f t="shared" si="6"/>
        <v>17117.870199999998</v>
      </c>
      <c r="E107" s="24">
        <v>15.9397</v>
      </c>
      <c r="F107" s="23">
        <f t="shared" si="7"/>
        <v>272853.71562693996</v>
      </c>
      <c r="G107" s="23">
        <f t="shared" si="8"/>
        <v>289971.58582693996</v>
      </c>
    </row>
    <row r="108" spans="1:7" x14ac:dyDescent="0.25">
      <c r="A108" s="22">
        <v>43344</v>
      </c>
      <c r="B108" s="11">
        <f t="shared" si="5"/>
        <v>23617.870199999998</v>
      </c>
      <c r="C108" s="7">
        <v>6500</v>
      </c>
      <c r="D108" s="7">
        <f t="shared" si="6"/>
        <v>17117.870199999998</v>
      </c>
      <c r="E108" s="24">
        <v>15.551399999999999</v>
      </c>
      <c r="F108" s="23">
        <f t="shared" si="7"/>
        <v>266206.84662827995</v>
      </c>
      <c r="G108" s="23">
        <f t="shared" si="8"/>
        <v>283324.71682827995</v>
      </c>
    </row>
    <row r="109" spans="1:7" x14ac:dyDescent="0.25">
      <c r="A109" s="22">
        <v>43374</v>
      </c>
      <c r="B109" s="11">
        <f t="shared" si="5"/>
        <v>24644.736599999997</v>
      </c>
      <c r="C109" s="7">
        <v>6500</v>
      </c>
      <c r="D109" s="7">
        <f t="shared" si="6"/>
        <v>18144.736599999997</v>
      </c>
      <c r="E109" s="24">
        <f>150523%/100</f>
        <v>15.052300000000001</v>
      </c>
      <c r="F109" s="23">
        <f t="shared" ref="F109:F120" si="9">+E109*D109</f>
        <v>273120.01872417994</v>
      </c>
      <c r="G109" s="23">
        <f t="shared" ref="G109:G120" si="10">+F109+D109</f>
        <v>291264.75532417995</v>
      </c>
    </row>
    <row r="110" spans="1:7" x14ac:dyDescent="0.25">
      <c r="A110" s="22">
        <v>43405</v>
      </c>
      <c r="B110" s="11">
        <f t="shared" si="5"/>
        <v>25671.603000000003</v>
      </c>
      <c r="C110" s="41">
        <v>6500</v>
      </c>
      <c r="D110" s="7">
        <f t="shared" si="6"/>
        <v>19171.603000000003</v>
      </c>
      <c r="E110" s="24">
        <f>145701%/100</f>
        <v>14.5701</v>
      </c>
      <c r="F110" s="23">
        <f t="shared" si="9"/>
        <v>279332.17287030007</v>
      </c>
      <c r="G110" s="23">
        <f t="shared" si="10"/>
        <v>298503.77587030007</v>
      </c>
    </row>
    <row r="111" spans="1:7" x14ac:dyDescent="0.25">
      <c r="A111" s="22">
        <v>43435</v>
      </c>
      <c r="B111" s="11">
        <f t="shared" si="5"/>
        <v>25671.603000000003</v>
      </c>
      <c r="C111" s="41">
        <v>6500</v>
      </c>
      <c r="D111" s="7">
        <f t="shared" si="6"/>
        <v>19171.603000000003</v>
      </c>
      <c r="E111" s="24">
        <v>14.113300000000001</v>
      </c>
      <c r="F111" s="23">
        <f t="shared" si="9"/>
        <v>270574.58461990004</v>
      </c>
      <c r="G111" s="23">
        <f t="shared" si="10"/>
        <v>289746.18761990004</v>
      </c>
    </row>
    <row r="112" spans="1:7" x14ac:dyDescent="0.25">
      <c r="A112" s="22" t="s">
        <v>49</v>
      </c>
      <c r="B112" s="11">
        <f t="shared" si="5"/>
        <v>12835.801500000001</v>
      </c>
      <c r="C112" s="41">
        <v>0</v>
      </c>
      <c r="D112" s="7">
        <f t="shared" si="6"/>
        <v>12835.801500000001</v>
      </c>
      <c r="E112" s="24">
        <f>+E111</f>
        <v>14.113300000000001</v>
      </c>
      <c r="F112" s="23">
        <f t="shared" si="9"/>
        <v>181155.51730995002</v>
      </c>
      <c r="G112" s="23">
        <f t="shared" si="10"/>
        <v>193991.31880995003</v>
      </c>
    </row>
    <row r="113" spans="1:7" x14ac:dyDescent="0.25">
      <c r="A113" s="22">
        <v>43466</v>
      </c>
      <c r="B113" s="11">
        <f t="shared" si="5"/>
        <v>25671.603000000003</v>
      </c>
      <c r="C113" s="41">
        <v>6500</v>
      </c>
      <c r="D113" s="7">
        <f t="shared" si="6"/>
        <v>19171.603000000003</v>
      </c>
      <c r="E113" s="24">
        <v>13.6797</v>
      </c>
      <c r="F113" s="23">
        <f t="shared" si="9"/>
        <v>262261.77755910007</v>
      </c>
      <c r="G113" s="23">
        <f t="shared" si="10"/>
        <v>281433.38055910007</v>
      </c>
    </row>
    <row r="114" spans="1:7" x14ac:dyDescent="0.25">
      <c r="A114" s="22">
        <v>43497</v>
      </c>
      <c r="B114" s="11">
        <f t="shared" si="5"/>
        <v>26185.036200000002</v>
      </c>
      <c r="C114" s="41">
        <v>6500</v>
      </c>
      <c r="D114" s="7">
        <f t="shared" si="6"/>
        <v>19685.036200000002</v>
      </c>
      <c r="E114" s="24">
        <v>13.356400000000001</v>
      </c>
      <c r="F114" s="23">
        <f t="shared" si="9"/>
        <v>262921.21750168002</v>
      </c>
      <c r="G114" s="23">
        <f t="shared" si="10"/>
        <v>282606.25370167999</v>
      </c>
    </row>
    <row r="115" spans="1:7" x14ac:dyDescent="0.25">
      <c r="A115" s="22">
        <v>43525</v>
      </c>
      <c r="B115" s="11">
        <f t="shared" si="5"/>
        <v>27417.273600000004</v>
      </c>
      <c r="C115" s="41">
        <v>6500</v>
      </c>
      <c r="D115" s="7">
        <f t="shared" si="6"/>
        <v>20917.273600000004</v>
      </c>
      <c r="E115" s="24">
        <v>12.9993</v>
      </c>
      <c r="F115" s="23">
        <f t="shared" si="9"/>
        <v>271909.91470848006</v>
      </c>
      <c r="G115" s="23">
        <f t="shared" si="10"/>
        <v>292827.18830848008</v>
      </c>
    </row>
    <row r="116" spans="1:7" x14ac:dyDescent="0.25">
      <c r="A116" s="22">
        <v>43556</v>
      </c>
      <c r="B116" s="11">
        <f t="shared" si="5"/>
        <v>28854.882000000001</v>
      </c>
      <c r="C116" s="41">
        <v>6500</v>
      </c>
      <c r="D116" s="7">
        <f t="shared" si="6"/>
        <v>22354.882000000001</v>
      </c>
      <c r="E116" s="24">
        <v>12.5947</v>
      </c>
      <c r="F116" s="23">
        <f t="shared" si="9"/>
        <v>281553.03232539998</v>
      </c>
      <c r="G116" s="23">
        <f t="shared" si="10"/>
        <v>303907.91432539996</v>
      </c>
    </row>
    <row r="117" spans="1:7" x14ac:dyDescent="0.25">
      <c r="A117" s="22">
        <v>43586</v>
      </c>
      <c r="B117" s="11">
        <f t="shared" si="5"/>
        <v>28854.882000000001</v>
      </c>
      <c r="C117" s="41">
        <v>0</v>
      </c>
      <c r="D117" s="7">
        <f t="shared" si="6"/>
        <v>28854.882000000001</v>
      </c>
      <c r="E117" s="24">
        <v>12.156700000000001</v>
      </c>
      <c r="F117" s="23">
        <f t="shared" si="9"/>
        <v>350780.14400940004</v>
      </c>
      <c r="G117" s="23">
        <f t="shared" si="10"/>
        <v>379635.02600940003</v>
      </c>
    </row>
    <row r="118" spans="1:7" x14ac:dyDescent="0.25">
      <c r="A118" s="22">
        <v>43617</v>
      </c>
      <c r="B118" s="11">
        <f t="shared" si="5"/>
        <v>40254.881999999998</v>
      </c>
      <c r="C118" s="41">
        <v>0</v>
      </c>
      <c r="D118" s="7">
        <f t="shared" si="6"/>
        <v>40254.881999999998</v>
      </c>
      <c r="E118" s="24">
        <v>11.741199999999999</v>
      </c>
      <c r="F118" s="23">
        <f t="shared" si="9"/>
        <v>472640.62053839996</v>
      </c>
      <c r="G118" s="23">
        <f t="shared" si="10"/>
        <v>512895.50253839995</v>
      </c>
    </row>
    <row r="119" spans="1:7" x14ac:dyDescent="0.25">
      <c r="A119" s="22" t="s">
        <v>50</v>
      </c>
      <c r="B119" s="11">
        <f t="shared" si="5"/>
        <v>20127.440999999999</v>
      </c>
      <c r="C119" s="41">
        <v>0</v>
      </c>
      <c r="D119" s="7">
        <f t="shared" si="6"/>
        <v>20127.440999999999</v>
      </c>
      <c r="E119" s="24">
        <f>+E118</f>
        <v>11.741199999999999</v>
      </c>
      <c r="F119" s="23">
        <f t="shared" si="9"/>
        <v>236320.31026919998</v>
      </c>
      <c r="G119" s="23">
        <f t="shared" si="10"/>
        <v>256447.75126919997</v>
      </c>
    </row>
    <row r="120" spans="1:7" x14ac:dyDescent="0.25">
      <c r="A120" s="22">
        <v>43647</v>
      </c>
      <c r="B120" s="11">
        <f t="shared" si="5"/>
        <v>31740.370199999998</v>
      </c>
      <c r="C120" s="41">
        <v>0</v>
      </c>
      <c r="D120" s="7">
        <f t="shared" si="6"/>
        <v>31740.370199999998</v>
      </c>
      <c r="E120" s="24">
        <v>11.357699999999999</v>
      </c>
      <c r="F120" s="23">
        <f t="shared" si="9"/>
        <v>360497.60262053995</v>
      </c>
      <c r="G120" s="23">
        <f t="shared" si="10"/>
        <v>392237.97282053996</v>
      </c>
    </row>
    <row r="121" spans="1:7" x14ac:dyDescent="0.25">
      <c r="A121" s="8" t="s">
        <v>7</v>
      </c>
      <c r="B121" s="9">
        <f t="shared" si="5"/>
        <v>496436.03369999997</v>
      </c>
      <c r="C121" s="44">
        <f>SUM(C100:C120)</f>
        <v>97500</v>
      </c>
      <c r="D121" s="44">
        <f>SUM(D100:D120)</f>
        <v>398936.03370000003</v>
      </c>
      <c r="E121" s="42"/>
      <c r="F121" s="43"/>
      <c r="G121" s="45">
        <f>SUM(G100:G120)</f>
        <v>6004830.7689511897</v>
      </c>
    </row>
    <row r="122" spans="1:7" x14ac:dyDescent="0.25">
      <c r="A122" s="5"/>
      <c r="B122" s="5"/>
      <c r="C122" s="5"/>
      <c r="D122" s="5"/>
      <c r="E122" s="5"/>
      <c r="F122" s="6"/>
    </row>
    <row r="123" spans="1:7" x14ac:dyDescent="0.25">
      <c r="A123" s="5"/>
      <c r="B123" s="5"/>
      <c r="C123" s="5"/>
      <c r="D123" s="5"/>
      <c r="E123" s="5"/>
      <c r="F123" s="6"/>
    </row>
    <row r="124" spans="1:7" x14ac:dyDescent="0.25">
      <c r="A124" s="5" t="s">
        <v>24</v>
      </c>
      <c r="B124" s="5"/>
      <c r="C124" s="5"/>
      <c r="D124" s="5"/>
      <c r="E124" s="5"/>
      <c r="F124" s="6"/>
    </row>
    <row r="125" spans="1:7" x14ac:dyDescent="0.25">
      <c r="A125" s="5"/>
      <c r="B125" s="5"/>
      <c r="C125" s="5"/>
      <c r="D125" s="5"/>
      <c r="E125" s="5"/>
      <c r="F125" s="6"/>
    </row>
    <row r="126" spans="1:7" x14ac:dyDescent="0.25">
      <c r="A126" s="17" t="s">
        <v>52</v>
      </c>
      <c r="B126" s="25">
        <f>+C70</f>
        <v>14003411.717450606</v>
      </c>
      <c r="C126" s="5"/>
      <c r="D126" s="5"/>
      <c r="E126" s="5"/>
      <c r="F126" s="6"/>
    </row>
    <row r="127" spans="1:7" x14ac:dyDescent="0.25">
      <c r="A127" s="17" t="s">
        <v>53</v>
      </c>
      <c r="B127" s="25">
        <f>+G121</f>
        <v>6004830.7689511897</v>
      </c>
      <c r="C127" s="5"/>
      <c r="D127" s="5"/>
      <c r="E127" s="5"/>
      <c r="F127" s="6"/>
    </row>
    <row r="128" spans="1:7" x14ac:dyDescent="0.25">
      <c r="A128" s="53" t="s">
        <v>54</v>
      </c>
      <c r="B128" s="54">
        <f>+B127+B126</f>
        <v>20008242.486401796</v>
      </c>
      <c r="C128" s="5"/>
      <c r="D128" s="5"/>
      <c r="E128" s="5"/>
      <c r="F128" s="6"/>
    </row>
    <row r="129" spans="1:6" x14ac:dyDescent="0.25">
      <c r="A129" s="5"/>
      <c r="B129" s="5"/>
      <c r="C129" s="5"/>
      <c r="D129" s="5"/>
      <c r="E129" s="5"/>
      <c r="F129" s="6"/>
    </row>
    <row r="130" spans="1:6" x14ac:dyDescent="0.25">
      <c r="A130" s="5"/>
      <c r="B130" s="5"/>
      <c r="C130" s="5"/>
      <c r="D130" s="5"/>
      <c r="E130" s="5"/>
      <c r="F130" s="6"/>
    </row>
    <row r="132" spans="1:6" x14ac:dyDescent="0.25">
      <c r="A132" s="26" t="s">
        <v>8</v>
      </c>
      <c r="B132" s="46">
        <v>2928609.08</v>
      </c>
    </row>
    <row r="133" spans="1:6" x14ac:dyDescent="0.25">
      <c r="A133" s="26" t="s">
        <v>9</v>
      </c>
      <c r="B133" s="47">
        <f>+E97+C66</f>
        <v>1637280.681790415</v>
      </c>
    </row>
    <row r="134" spans="1:6" x14ac:dyDescent="0.25">
      <c r="A134" s="26" t="s">
        <v>10</v>
      </c>
      <c r="B134" s="48">
        <f>+B133/B132</f>
        <v>0.5590642646612346</v>
      </c>
    </row>
  </sheetData>
  <mergeCells count="4">
    <mergeCell ref="A19:F19"/>
    <mergeCell ref="A22:B22"/>
    <mergeCell ref="A11:B11"/>
    <mergeCell ref="A68:B6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Planilla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Huespe</dc:creator>
  <cp:lastModifiedBy>Andrés Huespe</cp:lastModifiedBy>
  <dcterms:created xsi:type="dcterms:W3CDTF">2015-06-05T18:17:20Z</dcterms:created>
  <dcterms:modified xsi:type="dcterms:W3CDTF">2026-05-12T12:55:28Z</dcterms:modified>
</cp:coreProperties>
</file>